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Planilha Ajustada" sheetId="1" r:id="rId1"/>
    <sheet name="Médias Mensais" sheetId="2" r:id="rId2"/>
  </sheets>
  <definedNames/>
  <calcPr fullCalcOnLoad="1"/>
</workbook>
</file>

<file path=xl/sharedStrings.xml><?xml version="1.0" encoding="utf-8"?>
<sst xmlns="http://schemas.openxmlformats.org/spreadsheetml/2006/main" count="244" uniqueCount="192">
  <si>
    <t>PLANILHA DE CUSTOS TRANSPORTE ESCOLAR 2021</t>
  </si>
  <si>
    <t xml:space="preserve">LINHA - AREIA GRANDE, VILA JOÃO XXIII, BARRO CORTADO E RIO VERDE </t>
  </si>
  <si>
    <t>KM DIA: 81</t>
  </si>
  <si>
    <t>Nº ALUNOS: 48</t>
  </si>
  <si>
    <t>P/ PIRATABA E AREIA GRANDE, VILA JOÃO XXIII E RIO VERDE P/ RIO VERDE</t>
  </si>
  <si>
    <t>PLANILHA DE CÁLCULO TARIFÁRIO DO TRANSPORTE DE ESCOLARES</t>
  </si>
  <si>
    <t>I - CUSTOS VARIÁVEIS</t>
  </si>
  <si>
    <t>A - Combustível</t>
  </si>
  <si>
    <t>Nº. de veículos</t>
  </si>
  <si>
    <t>Preço por litro</t>
  </si>
  <si>
    <t>Coefic. de consumo</t>
  </si>
  <si>
    <t>Custo por km</t>
  </si>
  <si>
    <t>Micro sem ar a DIESEL</t>
  </si>
  <si>
    <t>Km/l</t>
  </si>
  <si>
    <t>Total da Frota</t>
  </si>
  <si>
    <t>R$ p/km rodado</t>
  </si>
  <si>
    <t>Custo ponderado por km</t>
  </si>
  <si>
    <t>Coeficiente consumo</t>
  </si>
  <si>
    <t>B - Óleos Lubrificantes</t>
  </si>
  <si>
    <t>Óleo do motor micro sem ar</t>
  </si>
  <si>
    <t>Km/4l</t>
  </si>
  <si>
    <t>Óleo da caixa de mudança micro sem ar</t>
  </si>
  <si>
    <t>Óleo do diferencial micro sem ar</t>
  </si>
  <si>
    <t>Óleo da direção hidráulica micro sem ar</t>
  </si>
  <si>
    <t>Óleo do freio veículo micro sem ar</t>
  </si>
  <si>
    <t>Total da frota</t>
  </si>
  <si>
    <t>Rodagem micro por km</t>
  </si>
  <si>
    <t>Preço unitário</t>
  </si>
  <si>
    <t>Quant. por veículo</t>
  </si>
  <si>
    <t>Preço total</t>
  </si>
  <si>
    <t>Pneu novo</t>
  </si>
  <si>
    <t>Recapagem</t>
  </si>
  <si>
    <t>Protetor</t>
  </si>
  <si>
    <t>Total</t>
  </si>
  <si>
    <t>Custo ponderado da rodagem por km</t>
  </si>
  <si>
    <t>Custo por veículo</t>
  </si>
  <si>
    <t>Quant. de veículos</t>
  </si>
  <si>
    <t>Custo total</t>
  </si>
  <si>
    <t>Custo rodagem micro</t>
  </si>
  <si>
    <t>Custo ponderado da rodagem por veículo</t>
  </si>
  <si>
    <t>Quilometragem mínima</t>
  </si>
  <si>
    <t>Resumo dos custos variáveis</t>
  </si>
  <si>
    <t>A - Combustíveis</t>
  </si>
  <si>
    <t>B - Óleos Lubricantes</t>
  </si>
  <si>
    <t>C - Rodagem</t>
  </si>
  <si>
    <t>Custo variável total por km</t>
  </si>
  <si>
    <t>II - CUSTOS FIXOS</t>
  </si>
  <si>
    <t>Ano do veículo</t>
  </si>
  <si>
    <t>Preço atual</t>
  </si>
  <si>
    <t>Frota micro</t>
  </si>
  <si>
    <t>Micro a gasolina sem ar</t>
  </si>
  <si>
    <t>Valor de veículo ponderado da frota</t>
  </si>
  <si>
    <t>Valor total</t>
  </si>
  <si>
    <t>Total de veículos da frota</t>
  </si>
  <si>
    <t>Valor do veículo ponderado da frota</t>
  </si>
  <si>
    <t>Valor do veículo ponderado da frota menos rodagem</t>
  </si>
  <si>
    <t>A - Custos de capital</t>
  </si>
  <si>
    <t>A1 - Depreciação da frota</t>
  </si>
  <si>
    <t>Valor ponder. rodag.</t>
  </si>
  <si>
    <t>Coefic. de deprec.</t>
  </si>
  <si>
    <t>Valor frota</t>
  </si>
  <si>
    <t>x nº veíc da frota</t>
  </si>
  <si>
    <t>Valor sem rodagem</t>
  </si>
  <si>
    <t>Médio cada frota</t>
  </si>
  <si>
    <t>Deprec mensal</t>
  </si>
  <si>
    <t>Valor micro</t>
  </si>
  <si>
    <t>Depreciação mensal da frota</t>
  </si>
  <si>
    <t>km por mês</t>
  </si>
  <si>
    <t>Depreciação da frota por km</t>
  </si>
  <si>
    <t>A2 - Depreciação máquinas, equipamentos e instalações</t>
  </si>
  <si>
    <t>3% valor frota</t>
  </si>
  <si>
    <t>Coefic. deprec.</t>
  </si>
  <si>
    <t>Deprec. mensal</t>
  </si>
  <si>
    <t>1% do valor da frota</t>
  </si>
  <si>
    <t>Depreciação máquinas, equipamentos e instalações por km</t>
  </si>
  <si>
    <t>A3 - Remuneração capital empregado no almoxarifado</t>
  </si>
  <si>
    <t>1% valor frota</t>
  </si>
  <si>
    <t>Coefic. remuner.</t>
  </si>
  <si>
    <t>Remuner. mensal</t>
  </si>
  <si>
    <t>Remuneração capital empregado no almoxarifado por km</t>
  </si>
  <si>
    <t>Resumos dos custos de capital</t>
  </si>
  <si>
    <t>A1 - Depreciação mensal da frota</t>
  </si>
  <si>
    <t>A2 - Depreciação mensal de máquinas, equipamentos e instalações</t>
  </si>
  <si>
    <t>A3 - Remuneração mensal do capital empregado no almoxarifado</t>
  </si>
  <si>
    <t>Custo total do capital por km</t>
  </si>
  <si>
    <t>B - Despesas com peças e acessórios</t>
  </si>
  <si>
    <t>20% valor frota</t>
  </si>
  <si>
    <t>20% do valor da frota</t>
  </si>
  <si>
    <t>Despesas com peças e acessórios por km</t>
  </si>
  <si>
    <t>C - Despesas com pessoal de operação e manutenção</t>
  </si>
  <si>
    <t>C1 - Despesa mensal com pessoal de operação</t>
  </si>
  <si>
    <t>Quantidade</t>
  </si>
  <si>
    <t>Salário</t>
  </si>
  <si>
    <t>Encargos sociais</t>
  </si>
  <si>
    <t>Fator de utilização</t>
  </si>
  <si>
    <t>Motorista R$ 2.204,00 e Monitor R$ 1.400,00</t>
  </si>
  <si>
    <t>Monitor</t>
  </si>
  <si>
    <t>Vale refeição (1 motor. X 22 dias mês)</t>
  </si>
  <si>
    <t>Vale refeição (1 monitor X 22 dias mês)</t>
  </si>
  <si>
    <t>Despesa mensal com pessoal de operação</t>
  </si>
  <si>
    <t>Despesa mensal com pessoal de operação por km</t>
  </si>
  <si>
    <t>C2 -  Despesa com pessoal de manutenção</t>
  </si>
  <si>
    <t>Despesa mensal</t>
  </si>
  <si>
    <t>Coeficiente 12%</t>
  </si>
  <si>
    <t>Pessoal de operação</t>
  </si>
  <si>
    <t>Resumo das Despesas com pessoal de operação e manutenção</t>
  </si>
  <si>
    <t>Despesa mensal com pessoal de operação e manutenção por km</t>
  </si>
  <si>
    <t>D - Despesas administrativas</t>
  </si>
  <si>
    <t>D1 - Pessoal administrativo</t>
  </si>
  <si>
    <t>Coeficiente 8%</t>
  </si>
  <si>
    <t>Despesa com pessoal administrativo por mês</t>
  </si>
  <si>
    <t>Despesa mensal com pessoal administrativo por km</t>
  </si>
  <si>
    <t>D2 - Outras despesas</t>
  </si>
  <si>
    <t>Coeficiente 2%</t>
  </si>
  <si>
    <t>Outras despesas por mês</t>
  </si>
  <si>
    <t>Outras despesas por km</t>
  </si>
  <si>
    <t>D3 - Seguros / taxas passageiro</t>
  </si>
  <si>
    <t>Prêmio p/ veículo</t>
  </si>
  <si>
    <t>Quant. Veículos</t>
  </si>
  <si>
    <t>Prêmio mensal</t>
  </si>
  <si>
    <t>Seguro passageiro por km</t>
  </si>
  <si>
    <t>D4 - Seguro DPVAT</t>
  </si>
  <si>
    <t>Quant. veículos</t>
  </si>
  <si>
    <t>Total mensal</t>
  </si>
  <si>
    <t>Seguro DPVAT por veículo/ano</t>
  </si>
  <si>
    <t>Seguro DPVAT por km</t>
  </si>
  <si>
    <t>D5 - Pró-labore diretoria</t>
  </si>
  <si>
    <t>Pró-labore</t>
  </si>
  <si>
    <t>Nº. de diretores</t>
  </si>
  <si>
    <t>Sub-total</t>
  </si>
  <si>
    <t>Nº. de empresas</t>
  </si>
  <si>
    <t>Diretor</t>
  </si>
  <si>
    <t>INSS (15%)</t>
  </si>
  <si>
    <t>Pró-labore por mês</t>
  </si>
  <si>
    <t>Pró-labore por km</t>
  </si>
  <si>
    <t>RESUMO DE DESPESAS ADMINISTRATIVAS</t>
  </si>
  <si>
    <t>Custo mensal das despesas adminsitrativas por km</t>
  </si>
  <si>
    <t>RESUMO DO CUSTO FIXO TOTAL P/ QUILOMÊTRO</t>
  </si>
  <si>
    <t>A - Custo de capital</t>
  </si>
  <si>
    <t>B - Despesa com peças e acessórios</t>
  </si>
  <si>
    <t>Custo fixo total por km</t>
  </si>
  <si>
    <t>CUSTO TOTAL POR KM</t>
  </si>
  <si>
    <t>Custo variável por km</t>
  </si>
  <si>
    <t>Custo fixo por km</t>
  </si>
  <si>
    <t>Custo total por km</t>
  </si>
  <si>
    <t>Tributos</t>
  </si>
  <si>
    <t>Porcentagem</t>
  </si>
  <si>
    <t>Soma</t>
  </si>
  <si>
    <t>Índice</t>
  </si>
  <si>
    <t>ISSQN</t>
  </si>
  <si>
    <t>Simples</t>
  </si>
  <si>
    <t>Lucro</t>
  </si>
  <si>
    <t>Custo total por km com tributos</t>
  </si>
  <si>
    <t>RESUMO DOS ITENS DE CUSTO DA PLANILHA TARIFÁRIA</t>
  </si>
  <si>
    <t>VALOR</t>
  </si>
  <si>
    <t>% S/ CUSTO TOTAL</t>
  </si>
  <si>
    <t>A - COMBUSTÍVEL</t>
  </si>
  <si>
    <t>B - ÓLEOS E LUBRIFICANTES</t>
  </si>
  <si>
    <t>C - RODAGEM</t>
  </si>
  <si>
    <t>II - CUSTO FIXO TOTAL POR QUILOMÊTRO</t>
  </si>
  <si>
    <t>A - CUSTO DE CAPITAL</t>
  </si>
  <si>
    <t>A.1 - DEPRECIAÇÃO DA FROTA</t>
  </si>
  <si>
    <t>A.2 - DEPREC. MAQ. EQUIPAM. E INSTALAÇ.</t>
  </si>
  <si>
    <t>A.3 - REMUN. CAPITAL. EMPREGADO NO ALMOX.</t>
  </si>
  <si>
    <t>B - DESPESA COM PEÇAS E ACESSÓRIOS</t>
  </si>
  <si>
    <t>C - DESP. C/ PESSOAL OPERAÇÃO + MANUTENÇÃO</t>
  </si>
  <si>
    <t>C.1 - DESPESA C/ PESSOAL OPERAÇÃO</t>
  </si>
  <si>
    <t>C.2 - DESPESA C/ PESSOAL MANUTENÇÃO</t>
  </si>
  <si>
    <t>D - CUSTO DAS DESPESAS ADMINISTRATIVAS</t>
  </si>
  <si>
    <t>D.1 - PESSOAL ADMINISTRATIVO</t>
  </si>
  <si>
    <t>D.2 - OUTRAS DESPESAS</t>
  </si>
  <si>
    <t>D.3 - SEGURO PASSAGEIRO</t>
  </si>
  <si>
    <t>D.4 - SEGURO DPVAT</t>
  </si>
  <si>
    <t>D.5 - PRÓ-LABORE</t>
  </si>
  <si>
    <t>TRIBUTOS</t>
  </si>
  <si>
    <t>CUSTO TOTAL POR QUILÔMETRO</t>
  </si>
  <si>
    <t>Médias mensais</t>
  </si>
  <si>
    <t>Roteiros</t>
  </si>
  <si>
    <t>Viagens por dia</t>
  </si>
  <si>
    <t>Viagens por mês</t>
  </si>
  <si>
    <t>Quilometragem</t>
  </si>
  <si>
    <t>Passageiros</t>
  </si>
  <si>
    <t>VEÍCULOS</t>
  </si>
  <si>
    <t>2ª a 6ª</t>
  </si>
  <si>
    <t>Sábados</t>
  </si>
  <si>
    <t>Domingos</t>
  </si>
  <si>
    <t>Dia</t>
  </si>
  <si>
    <t>Mês</t>
  </si>
  <si>
    <t>por dia</t>
  </si>
  <si>
    <t>por mês</t>
  </si>
  <si>
    <t>Somas</t>
  </si>
  <si>
    <t>-</t>
  </si>
</sst>
</file>

<file path=xl/styles.xml><?xml version="1.0" encoding="utf-8"?>
<styleSheet xmlns="http://schemas.openxmlformats.org/spreadsheetml/2006/main">
  <numFmts count="19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&quot;R$&quot;* #,##0_-;\-&quot;R$&quot;* #,##0_-;_-&quot;R$&quot;* &quot;-&quot;_-;_-@_-"/>
    <numFmt numFmtId="178" formatCode="_-* #,##0_-;\-* #,##0_-;_-* &quot;-&quot;_-;_-@_-"/>
    <numFmt numFmtId="179" formatCode="_(&quot;R$ &quot;* #,##0.00_);_(&quot;R$ &quot;* \(#,##0.00\);_(&quot;R$ &quot;* &quot;-&quot;??_);_(@_)"/>
    <numFmt numFmtId="180" formatCode="0.0000"/>
    <numFmt numFmtId="181" formatCode="#,##0.0000"/>
    <numFmt numFmtId="182" formatCode="0.000000"/>
  </numFmts>
  <fonts count="52">
    <font>
      <sz val="11"/>
      <color theme="1"/>
      <name val="Calibri"/>
      <family val="2"/>
    </font>
    <font>
      <sz val="10"/>
      <name val="Calibri"/>
      <family val="2"/>
    </font>
    <font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sz val="8"/>
      <color indexed="48"/>
      <name val="Tahoma"/>
      <family val="2"/>
    </font>
    <font>
      <b/>
      <sz val="8"/>
      <color indexed="10"/>
      <name val="Tahoma"/>
      <family val="2"/>
    </font>
    <font>
      <b/>
      <sz val="18"/>
      <color indexed="62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u val="single"/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sz val="8"/>
      <color theme="3" tint="0.39998000860214233"/>
      <name val="Tahoma"/>
      <family val="2"/>
    </font>
    <font>
      <b/>
      <sz val="8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1" applyNumberFormat="0" applyFill="0" applyAlignment="0" applyProtection="0"/>
    <xf numFmtId="0" fontId="29" fillId="3" borderId="2" applyNumberFormat="0" applyAlignment="0" applyProtection="0"/>
    <xf numFmtId="177" fontId="9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9" fillId="6" borderId="3" applyNumberFormat="0" applyFont="0" applyAlignment="0" applyProtection="0"/>
    <xf numFmtId="0" fontId="0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6" fillId="0" borderId="4" applyNumberFormat="0" applyFill="0" applyAlignment="0" applyProtection="0"/>
    <xf numFmtId="0" fontId="35" fillId="9" borderId="0" applyNumberFormat="0" applyBorder="0" applyAlignment="0" applyProtection="0"/>
    <xf numFmtId="0" fontId="37" fillId="0" borderId="4" applyNumberFormat="0" applyFill="0" applyAlignment="0" applyProtection="0"/>
    <xf numFmtId="0" fontId="35" fillId="10" borderId="0" applyNumberFormat="0" applyBorder="0" applyAlignment="0" applyProtection="0"/>
    <xf numFmtId="0" fontId="38" fillId="0" borderId="5" applyNumberFormat="0" applyFill="0" applyAlignment="0" applyProtection="0"/>
    <xf numFmtId="0" fontId="35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12" borderId="6" applyNumberFormat="0" applyAlignment="0" applyProtection="0"/>
    <xf numFmtId="0" fontId="40" fillId="13" borderId="7" applyNumberFormat="0" applyAlignment="0" applyProtection="0"/>
    <xf numFmtId="0" fontId="41" fillId="13" borderId="6" applyNumberFormat="0" applyAlignment="0" applyProtection="0"/>
    <xf numFmtId="0" fontId="42" fillId="0" borderId="8" applyNumberFormat="0" applyFill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33" borderId="9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1" xfId="0" applyFont="1" applyBorder="1" applyAlignment="1">
      <alignment/>
    </xf>
    <xf numFmtId="4" fontId="46" fillId="0" borderId="11" xfId="0" applyNumberFormat="1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4" fontId="46" fillId="0" borderId="13" xfId="0" applyNumberFormat="1" applyFont="1" applyBorder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5" xfId="0" applyFont="1" applyBorder="1" applyAlignment="1">
      <alignment/>
    </xf>
    <xf numFmtId="4" fontId="46" fillId="0" borderId="15" xfId="0" applyNumberFormat="1" applyFont="1" applyBorder="1" applyAlignment="1">
      <alignment/>
    </xf>
    <xf numFmtId="0" fontId="48" fillId="0" borderId="9" xfId="0" applyFont="1" applyBorder="1" applyAlignment="1">
      <alignment/>
    </xf>
    <xf numFmtId="0" fontId="48" fillId="0" borderId="9" xfId="0" applyFont="1" applyBorder="1" applyAlignment="1">
      <alignment horizontal="center"/>
    </xf>
    <xf numFmtId="0" fontId="46" fillId="0" borderId="9" xfId="0" applyFont="1" applyBorder="1" applyAlignment="1">
      <alignment/>
    </xf>
    <xf numFmtId="4" fontId="48" fillId="0" borderId="9" xfId="0" applyNumberFormat="1" applyFont="1" applyBorder="1" applyAlignment="1">
      <alignment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4" fontId="46" fillId="0" borderId="18" xfId="0" applyNumberFormat="1" applyFont="1" applyBorder="1" applyAlignment="1">
      <alignment/>
    </xf>
    <xf numFmtId="4" fontId="46" fillId="0" borderId="19" xfId="0" applyNumberFormat="1" applyFont="1" applyBorder="1" applyAlignment="1">
      <alignment/>
    </xf>
    <xf numFmtId="4" fontId="46" fillId="0" borderId="20" xfId="0" applyNumberFormat="1" applyFont="1" applyBorder="1" applyAlignment="1">
      <alignment/>
    </xf>
    <xf numFmtId="179" fontId="46" fillId="0" borderId="0" xfId="23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/>
    </xf>
    <xf numFmtId="0" fontId="47" fillId="33" borderId="0" xfId="0" applyFont="1" applyFill="1" applyAlignment="1">
      <alignment horizontal="center" vertical="center"/>
    </xf>
    <xf numFmtId="0" fontId="48" fillId="0" borderId="0" xfId="0" applyFont="1" applyAlignment="1">
      <alignment horizontal="center"/>
    </xf>
    <xf numFmtId="180" fontId="46" fillId="0" borderId="0" xfId="0" applyNumberFormat="1" applyFont="1" applyAlignment="1">
      <alignment/>
    </xf>
    <xf numFmtId="180" fontId="48" fillId="0" borderId="0" xfId="0" applyNumberFormat="1" applyFont="1" applyAlignment="1">
      <alignment/>
    </xf>
    <xf numFmtId="181" fontId="46" fillId="0" borderId="0" xfId="0" applyNumberFormat="1" applyFont="1" applyAlignment="1">
      <alignment/>
    </xf>
    <xf numFmtId="182" fontId="46" fillId="0" borderId="0" xfId="0" applyNumberFormat="1" applyFont="1" applyAlignment="1">
      <alignment/>
    </xf>
    <xf numFmtId="180" fontId="48" fillId="0" borderId="0" xfId="0" applyNumberFormat="1" applyFont="1" applyFill="1" applyAlignment="1">
      <alignment/>
    </xf>
    <xf numFmtId="2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48" fillId="0" borderId="0" xfId="0" applyFont="1" applyAlignment="1">
      <alignment wrapText="1"/>
    </xf>
    <xf numFmtId="0" fontId="46" fillId="0" borderId="0" xfId="0" applyFont="1" applyAlignment="1">
      <alignment horizontal="center"/>
    </xf>
    <xf numFmtId="4" fontId="46" fillId="0" borderId="0" xfId="0" applyNumberFormat="1" applyFont="1" applyAlignment="1">
      <alignment/>
    </xf>
    <xf numFmtId="181" fontId="48" fillId="0" borderId="0" xfId="0" applyNumberFormat="1" applyFont="1" applyAlignment="1">
      <alignment/>
    </xf>
    <xf numFmtId="181" fontId="48" fillId="0" borderId="0" xfId="0" applyNumberFormat="1" applyFont="1" applyFill="1" applyAlignment="1">
      <alignment/>
    </xf>
    <xf numFmtId="180" fontId="51" fillId="0" borderId="9" xfId="0" applyNumberFormat="1" applyFont="1" applyBorder="1" applyAlignment="1">
      <alignment/>
    </xf>
    <xf numFmtId="0" fontId="48" fillId="0" borderId="21" xfId="0" applyFont="1" applyBorder="1" applyAlignment="1">
      <alignment/>
    </xf>
    <xf numFmtId="0" fontId="46" fillId="0" borderId="22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48" fillId="0" borderId="24" xfId="0" applyFont="1" applyBorder="1" applyAlignment="1">
      <alignment/>
    </xf>
    <xf numFmtId="0" fontId="46" fillId="0" borderId="0" xfId="0" applyFont="1" applyBorder="1" applyAlignment="1">
      <alignment/>
    </xf>
    <xf numFmtId="180" fontId="48" fillId="0" borderId="0" xfId="0" applyNumberFormat="1" applyFont="1" applyBorder="1" applyAlignment="1">
      <alignment/>
    </xf>
    <xf numFmtId="10" fontId="46" fillId="0" borderId="25" xfId="18" applyNumberFormat="1" applyFont="1" applyBorder="1" applyAlignment="1">
      <alignment/>
    </xf>
    <xf numFmtId="0" fontId="46" fillId="0" borderId="24" xfId="0" applyFont="1" applyBorder="1" applyAlignment="1">
      <alignment/>
    </xf>
    <xf numFmtId="180" fontId="46" fillId="0" borderId="0" xfId="0" applyNumberFormat="1" applyFont="1" applyBorder="1" applyAlignment="1">
      <alignment/>
    </xf>
    <xf numFmtId="181" fontId="48" fillId="0" borderId="0" xfId="0" applyNumberFormat="1" applyFont="1" applyBorder="1" applyAlignment="1">
      <alignment/>
    </xf>
    <xf numFmtId="181" fontId="46" fillId="0" borderId="0" xfId="0" applyNumberFormat="1" applyFont="1" applyBorder="1" applyAlignment="1">
      <alignment/>
    </xf>
    <xf numFmtId="10" fontId="48" fillId="0" borderId="25" xfId="18" applyNumberFormat="1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6" xfId="0" applyFont="1" applyBorder="1" applyAlignment="1">
      <alignment/>
    </xf>
    <xf numFmtId="0" fontId="46" fillId="0" borderId="27" xfId="0" applyFont="1" applyBorder="1" applyAlignment="1">
      <alignment/>
    </xf>
    <xf numFmtId="180" fontId="48" fillId="0" borderId="27" xfId="0" applyNumberFormat="1" applyFont="1" applyBorder="1" applyAlignment="1">
      <alignment/>
    </xf>
    <xf numFmtId="10" fontId="48" fillId="0" borderId="28" xfId="18" applyNumberFormat="1" applyFont="1" applyBorder="1" applyAlignment="1">
      <alignment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5"/>
  <sheetViews>
    <sheetView tabSelected="1" zoomScale="150" zoomScaleNormal="150" zoomScaleSheetLayoutView="100" workbookViewId="0" topLeftCell="A1">
      <selection activeCell="A18" sqref="A18"/>
    </sheetView>
  </sheetViews>
  <sheetFormatPr defaultColWidth="9.00390625" defaultRowHeight="15"/>
  <cols>
    <col min="1" max="1" width="51.57421875" style="1" customWidth="1"/>
    <col min="2" max="2" width="14.421875" style="1" customWidth="1"/>
    <col min="3" max="3" width="15.421875" style="1" customWidth="1"/>
    <col min="4" max="4" width="15.00390625" style="1" customWidth="1"/>
    <col min="5" max="5" width="16.57421875" style="1" customWidth="1"/>
    <col min="6" max="6" width="14.8515625" style="1" customWidth="1"/>
    <col min="7" max="7" width="12.421875" style="1" hidden="1" customWidth="1"/>
    <col min="8" max="8" width="11.28125" style="1" hidden="1" customWidth="1"/>
    <col min="9" max="9" width="9.28125" style="1" bestFit="1" customWidth="1"/>
    <col min="10" max="16384" width="9.140625" style="1" bestFit="1" customWidth="1"/>
  </cols>
  <sheetData>
    <row r="1" ht="10.5">
      <c r="A1" s="28" t="s">
        <v>0</v>
      </c>
    </row>
    <row r="3" spans="1:5" ht="10.5" customHeight="1">
      <c r="A3" s="28" t="s">
        <v>1</v>
      </c>
      <c r="B3" s="28"/>
      <c r="C3" s="28" t="s">
        <v>2</v>
      </c>
      <c r="D3" s="28"/>
      <c r="E3" s="28" t="s">
        <v>3</v>
      </c>
    </row>
    <row r="4" spans="1:2" ht="10.5">
      <c r="A4" s="28" t="s">
        <v>4</v>
      </c>
      <c r="B4" s="28"/>
    </row>
    <row r="5" spans="1:6" ht="22.5" customHeight="1">
      <c r="A5" s="29" t="s">
        <v>5</v>
      </c>
      <c r="B5" s="29"/>
      <c r="C5" s="29"/>
      <c r="D5" s="29"/>
      <c r="E5" s="29"/>
      <c r="F5" s="29"/>
    </row>
    <row r="6" spans="1:6" s="26" customFormat="1" ht="10.5">
      <c r="A6" s="28" t="s">
        <v>6</v>
      </c>
      <c r="B6" s="1"/>
      <c r="C6" s="1"/>
      <c r="D6" s="1"/>
      <c r="E6" s="1"/>
      <c r="F6" s="1"/>
    </row>
    <row r="7" spans="1:6" s="26" customFormat="1" ht="10.5">
      <c r="A7" s="28" t="s">
        <v>7</v>
      </c>
      <c r="B7" s="28"/>
      <c r="C7" s="30" t="s">
        <v>8</v>
      </c>
      <c r="D7" s="30" t="s">
        <v>9</v>
      </c>
      <c r="E7" s="30" t="s">
        <v>10</v>
      </c>
      <c r="F7" s="30" t="s">
        <v>11</v>
      </c>
    </row>
    <row r="8" spans="1:8" s="26" customFormat="1" ht="10.5">
      <c r="A8" s="1" t="s">
        <v>12</v>
      </c>
      <c r="B8" s="1"/>
      <c r="C8" s="1">
        <v>1</v>
      </c>
      <c r="D8" s="1">
        <v>3.84</v>
      </c>
      <c r="E8" s="1">
        <v>0.25</v>
      </c>
      <c r="F8" s="31">
        <f>+E8*D8*C8</f>
        <v>0.96</v>
      </c>
      <c r="G8" s="26">
        <f>1/E8</f>
        <v>4</v>
      </c>
      <c r="H8" s="26" t="s">
        <v>13</v>
      </c>
    </row>
    <row r="9" spans="1:8" s="26" customFormat="1" ht="10.5">
      <c r="A9" s="1" t="s">
        <v>14</v>
      </c>
      <c r="B9" s="1"/>
      <c r="C9" s="28">
        <f>+C8</f>
        <v>1</v>
      </c>
      <c r="D9" s="1"/>
      <c r="E9" s="1"/>
      <c r="F9" s="31">
        <f>+F8</f>
        <v>0.96</v>
      </c>
      <c r="G9" s="26">
        <f>D8/G8</f>
        <v>0.96</v>
      </c>
      <c r="H9" s="26" t="s">
        <v>15</v>
      </c>
    </row>
    <row r="10" spans="1:8" s="26" customFormat="1" ht="10.5">
      <c r="A10" s="28" t="s">
        <v>16</v>
      </c>
      <c r="B10" s="1"/>
      <c r="C10" s="1"/>
      <c r="D10" s="1"/>
      <c r="E10" s="1"/>
      <c r="F10" s="32">
        <f>+F9/C9</f>
        <v>0.96</v>
      </c>
      <c r="G10" s="26">
        <f>G9/D8</f>
        <v>0.25</v>
      </c>
      <c r="H10" s="26" t="s">
        <v>17</v>
      </c>
    </row>
    <row r="11" spans="1:6" s="26" customFormat="1" ht="10.5">
      <c r="A11" s="1"/>
      <c r="B11" s="1"/>
      <c r="C11" s="1"/>
      <c r="D11" s="1"/>
      <c r="E11" s="1"/>
      <c r="F11" s="1"/>
    </row>
    <row r="12" spans="1:6" s="26" customFormat="1" ht="10.5">
      <c r="A12" s="28" t="s">
        <v>18</v>
      </c>
      <c r="B12" s="28"/>
      <c r="C12" s="30" t="s">
        <v>8</v>
      </c>
      <c r="D12" s="30" t="s">
        <v>9</v>
      </c>
      <c r="E12" s="30" t="s">
        <v>10</v>
      </c>
      <c r="F12" s="30" t="s">
        <v>11</v>
      </c>
    </row>
    <row r="13" spans="1:8" s="26" customFormat="1" ht="10.5">
      <c r="A13" s="1" t="s">
        <v>19</v>
      </c>
      <c r="B13" s="1"/>
      <c r="C13" s="1">
        <f>+C9</f>
        <v>1</v>
      </c>
      <c r="D13" s="33">
        <v>53.93</v>
      </c>
      <c r="E13" s="34">
        <v>0.0008</v>
      </c>
      <c r="F13" s="31">
        <f>+E13*D13*C13</f>
        <v>0.043144</v>
      </c>
      <c r="G13" s="26">
        <f>1/E13*4</f>
        <v>5000</v>
      </c>
      <c r="H13" s="26" t="s">
        <v>20</v>
      </c>
    </row>
    <row r="14" spans="1:8" s="26" customFormat="1" ht="10.5">
      <c r="A14" s="1" t="s">
        <v>21</v>
      </c>
      <c r="B14" s="1"/>
      <c r="C14" s="1">
        <f>+C9</f>
        <v>1</v>
      </c>
      <c r="D14" s="33">
        <v>16.05</v>
      </c>
      <c r="E14" s="34">
        <v>0.0001</v>
      </c>
      <c r="F14" s="31">
        <f>+E14*D14*C14</f>
        <v>0.001605</v>
      </c>
      <c r="G14" s="26">
        <f aca="true" t="shared" si="0" ref="G14:G17">1/E14</f>
        <v>10000</v>
      </c>
      <c r="H14" s="26" t="s">
        <v>13</v>
      </c>
    </row>
    <row r="15" spans="1:8" s="26" customFormat="1" ht="10.5">
      <c r="A15" s="1" t="s">
        <v>22</v>
      </c>
      <c r="B15" s="1"/>
      <c r="C15" s="1">
        <f>+C9</f>
        <v>1</v>
      </c>
      <c r="D15" s="33">
        <v>16.07</v>
      </c>
      <c r="E15" s="34">
        <v>0.0001</v>
      </c>
      <c r="F15" s="31">
        <f>+E15*D15*C15</f>
        <v>0.001607</v>
      </c>
      <c r="G15" s="26">
        <f t="shared" si="0"/>
        <v>10000</v>
      </c>
      <c r="H15" s="26" t="s">
        <v>13</v>
      </c>
    </row>
    <row r="16" spans="1:8" s="26" customFormat="1" ht="10.5">
      <c r="A16" s="1" t="s">
        <v>23</v>
      </c>
      <c r="B16" s="1"/>
      <c r="C16" s="1">
        <f>+C9</f>
        <v>1</v>
      </c>
      <c r="D16" s="33">
        <v>17.09</v>
      </c>
      <c r="E16" s="34">
        <v>5E-05</v>
      </c>
      <c r="F16" s="31">
        <f>+E16*D16*C16</f>
        <v>0.0008545</v>
      </c>
      <c r="G16" s="26">
        <f t="shared" si="0"/>
        <v>20000</v>
      </c>
      <c r="H16" s="26" t="s">
        <v>13</v>
      </c>
    </row>
    <row r="17" spans="1:8" s="26" customFormat="1" ht="10.5">
      <c r="A17" s="1" t="s">
        <v>24</v>
      </c>
      <c r="B17" s="1"/>
      <c r="C17" s="1">
        <f>+C9</f>
        <v>1</v>
      </c>
      <c r="D17" s="33">
        <v>15</v>
      </c>
      <c r="E17" s="34">
        <v>7E-05</v>
      </c>
      <c r="F17" s="31">
        <f>+E17*D17*C17</f>
        <v>0.00105</v>
      </c>
      <c r="G17" s="26">
        <f t="shared" si="0"/>
        <v>14285.7142857143</v>
      </c>
      <c r="H17" s="26" t="s">
        <v>13</v>
      </c>
    </row>
    <row r="18" spans="1:6" s="26" customFormat="1" ht="10.5">
      <c r="A18" s="1" t="s">
        <v>25</v>
      </c>
      <c r="B18" s="1"/>
      <c r="C18" s="1">
        <f>+C9</f>
        <v>1</v>
      </c>
      <c r="D18" s="33"/>
      <c r="E18" s="1"/>
      <c r="F18" s="31">
        <f>SUM(F13:F17)</f>
        <v>0.0482605</v>
      </c>
    </row>
    <row r="19" spans="1:6" s="26" customFormat="1" ht="10.5">
      <c r="A19" s="28" t="s">
        <v>16</v>
      </c>
      <c r="B19" s="1"/>
      <c r="C19" s="1"/>
      <c r="D19" s="1"/>
      <c r="E19" s="1"/>
      <c r="F19" s="35">
        <f>+F18/C18</f>
        <v>0.0482605</v>
      </c>
    </row>
    <row r="21" spans="1:6" s="26" customFormat="1" ht="10.5">
      <c r="A21" s="28" t="s">
        <v>26</v>
      </c>
      <c r="B21" s="1"/>
      <c r="C21" s="1"/>
      <c r="D21" s="30" t="s">
        <v>27</v>
      </c>
      <c r="E21" s="30" t="s">
        <v>28</v>
      </c>
      <c r="F21" s="30" t="s">
        <v>29</v>
      </c>
    </row>
    <row r="22" spans="1:6" s="26" customFormat="1" ht="10.5">
      <c r="A22" s="1" t="s">
        <v>30</v>
      </c>
      <c r="B22" s="1"/>
      <c r="C22" s="1"/>
      <c r="D22" s="36">
        <v>700</v>
      </c>
      <c r="E22" s="1">
        <v>6</v>
      </c>
      <c r="F22" s="37">
        <v>4200</v>
      </c>
    </row>
    <row r="23" spans="1:6" s="26" customFormat="1" ht="10.5">
      <c r="A23" s="1" t="s">
        <v>31</v>
      </c>
      <c r="B23" s="1"/>
      <c r="C23" s="1">
        <v>0</v>
      </c>
      <c r="D23" s="36">
        <v>0</v>
      </c>
      <c r="E23" s="1">
        <v>0</v>
      </c>
      <c r="F23" s="37">
        <f>+E23*D23</f>
        <v>0</v>
      </c>
    </row>
    <row r="24" spans="1:6" s="26" customFormat="1" ht="10.5">
      <c r="A24" s="1" t="s">
        <v>32</v>
      </c>
      <c r="B24" s="1"/>
      <c r="C24" s="1"/>
      <c r="D24" s="36">
        <v>0</v>
      </c>
      <c r="E24" s="1">
        <v>0</v>
      </c>
      <c r="F24" s="37">
        <f>+E24*D24</f>
        <v>0</v>
      </c>
    </row>
    <row r="25" spans="1:6" s="26" customFormat="1" ht="10.5">
      <c r="A25" s="28" t="s">
        <v>33</v>
      </c>
      <c r="B25" s="1"/>
      <c r="C25" s="1"/>
      <c r="D25" s="1"/>
      <c r="E25" s="1"/>
      <c r="F25" s="38">
        <f>SUM(F22:F24)</f>
        <v>4200</v>
      </c>
    </row>
    <row r="27" spans="1:6" s="26" customFormat="1" ht="10.5">
      <c r="A27" s="28" t="s">
        <v>34</v>
      </c>
      <c r="B27" s="1"/>
      <c r="C27" s="1"/>
      <c r="D27" s="30" t="s">
        <v>35</v>
      </c>
      <c r="E27" s="30" t="s">
        <v>36</v>
      </c>
      <c r="F27" s="30" t="s">
        <v>37</v>
      </c>
    </row>
    <row r="28" spans="1:6" s="26" customFormat="1" ht="10.5">
      <c r="A28" s="1" t="s">
        <v>38</v>
      </c>
      <c r="B28" s="1"/>
      <c r="C28" s="1"/>
      <c r="D28" s="37">
        <f>+F25</f>
        <v>4200</v>
      </c>
      <c r="E28" s="1">
        <f>+C9</f>
        <v>1</v>
      </c>
      <c r="F28" s="37">
        <f>+E28*D28</f>
        <v>4200</v>
      </c>
    </row>
    <row r="29" spans="1:6" s="26" customFormat="1" ht="10.5">
      <c r="A29" s="1" t="s">
        <v>25</v>
      </c>
      <c r="B29" s="1"/>
      <c r="C29" s="1"/>
      <c r="D29" s="1"/>
      <c r="E29" s="1">
        <f>+C9</f>
        <v>1</v>
      </c>
      <c r="F29" s="37">
        <f>+F28</f>
        <v>4200</v>
      </c>
    </row>
    <row r="30" spans="1:6" s="26" customFormat="1" ht="10.5">
      <c r="A30" s="1" t="s">
        <v>39</v>
      </c>
      <c r="B30" s="1"/>
      <c r="C30" s="1"/>
      <c r="D30" s="1"/>
      <c r="E30" s="1"/>
      <c r="F30" s="37">
        <f>+D28</f>
        <v>4200</v>
      </c>
    </row>
    <row r="31" spans="1:6" s="26" customFormat="1" ht="10.5">
      <c r="A31" s="1" t="s">
        <v>40</v>
      </c>
      <c r="B31" s="1"/>
      <c r="C31" s="1"/>
      <c r="D31" s="1"/>
      <c r="E31" s="1"/>
      <c r="F31" s="37">
        <v>60000</v>
      </c>
    </row>
    <row r="32" spans="1:6" s="26" customFormat="1" ht="10.5">
      <c r="A32" s="28" t="s">
        <v>34</v>
      </c>
      <c r="B32" s="1"/>
      <c r="C32" s="1"/>
      <c r="D32" s="1"/>
      <c r="E32" s="1"/>
      <c r="F32" s="32">
        <f>+F30/F31</f>
        <v>0.07</v>
      </c>
    </row>
    <row r="34" spans="1:6" s="26" customFormat="1" ht="10.5">
      <c r="A34" s="28" t="s">
        <v>41</v>
      </c>
      <c r="B34" s="1"/>
      <c r="C34" s="1"/>
      <c r="D34" s="1"/>
      <c r="E34" s="1"/>
      <c r="F34" s="1"/>
    </row>
    <row r="35" spans="1:6" s="26" customFormat="1" ht="10.5">
      <c r="A35" s="28" t="s">
        <v>42</v>
      </c>
      <c r="B35" s="1"/>
      <c r="C35" s="1"/>
      <c r="D35" s="1"/>
      <c r="E35" s="1"/>
      <c r="F35" s="32">
        <f>+F10</f>
        <v>0.96</v>
      </c>
    </row>
    <row r="36" spans="1:6" s="26" customFormat="1" ht="10.5">
      <c r="A36" s="28" t="s">
        <v>43</v>
      </c>
      <c r="B36" s="1"/>
      <c r="C36" s="1"/>
      <c r="D36" s="1"/>
      <c r="E36" s="1"/>
      <c r="F36" s="32">
        <f>+F19</f>
        <v>0.0482605</v>
      </c>
    </row>
    <row r="37" spans="1:6" s="26" customFormat="1" ht="10.5">
      <c r="A37" s="28" t="s">
        <v>44</v>
      </c>
      <c r="B37" s="1"/>
      <c r="C37" s="1"/>
      <c r="D37" s="1"/>
      <c r="E37" s="1"/>
      <c r="F37" s="32">
        <f>+F32</f>
        <v>0.07</v>
      </c>
    </row>
    <row r="38" spans="1:6" s="26" customFormat="1" ht="10.5">
      <c r="A38" s="28" t="s">
        <v>45</v>
      </c>
      <c r="B38" s="1"/>
      <c r="C38" s="1"/>
      <c r="D38" s="1"/>
      <c r="E38" s="1"/>
      <c r="F38" s="35">
        <f>+F37+F36+F35</f>
        <v>1.0782605</v>
      </c>
    </row>
    <row r="40" spans="1:6" s="26" customFormat="1" ht="10.5">
      <c r="A40" s="28" t="s">
        <v>46</v>
      </c>
      <c r="B40" s="1"/>
      <c r="C40" s="30" t="s">
        <v>47</v>
      </c>
      <c r="D40" s="30" t="s">
        <v>8</v>
      </c>
      <c r="E40" s="30" t="s">
        <v>48</v>
      </c>
      <c r="F40" s="30" t="s">
        <v>29</v>
      </c>
    </row>
    <row r="41" spans="1:6" s="26" customFormat="1" ht="10.5">
      <c r="A41" s="28" t="s">
        <v>49</v>
      </c>
      <c r="B41" s="1"/>
      <c r="C41" s="1">
        <v>2011</v>
      </c>
      <c r="D41" s="1">
        <f>+C9</f>
        <v>1</v>
      </c>
      <c r="E41" s="37">
        <v>100000</v>
      </c>
      <c r="F41" s="37">
        <f>+E41*D41</f>
        <v>100000</v>
      </c>
    </row>
    <row r="42" spans="1:6" s="26" customFormat="1" ht="10.5">
      <c r="A42" s="1" t="s">
        <v>50</v>
      </c>
      <c r="B42" s="1"/>
      <c r="C42" s="1"/>
      <c r="D42" s="1">
        <f>+C9</f>
        <v>1</v>
      </c>
      <c r="E42" s="37"/>
      <c r="F42" s="38">
        <f>+F41</f>
        <v>100000</v>
      </c>
    </row>
    <row r="43" spans="1:6" s="26" customFormat="1" ht="10.5">
      <c r="A43" s="1"/>
      <c r="B43" s="1"/>
      <c r="C43" s="1"/>
      <c r="D43" s="1"/>
      <c r="E43" s="37"/>
      <c r="F43" s="38"/>
    </row>
    <row r="44" spans="1:6" s="26" customFormat="1" ht="10.5">
      <c r="A44" s="28" t="s">
        <v>51</v>
      </c>
      <c r="B44" s="1"/>
      <c r="C44" s="1"/>
      <c r="D44" s="1"/>
      <c r="E44" s="1"/>
      <c r="F44" s="1" t="s">
        <v>25</v>
      </c>
    </row>
    <row r="45" spans="1:6" s="26" customFormat="1" ht="10.5">
      <c r="A45" s="1" t="s">
        <v>52</v>
      </c>
      <c r="B45" s="1"/>
      <c r="C45" s="1"/>
      <c r="D45" s="1"/>
      <c r="E45" s="1"/>
      <c r="F45" s="37">
        <f>+F42</f>
        <v>100000</v>
      </c>
    </row>
    <row r="46" spans="1:6" s="26" customFormat="1" ht="10.5">
      <c r="A46" s="1" t="s">
        <v>53</v>
      </c>
      <c r="B46" s="1"/>
      <c r="C46" s="1"/>
      <c r="D46" s="1"/>
      <c r="E46" s="1"/>
      <c r="F46" s="37">
        <f>+C9</f>
        <v>1</v>
      </c>
    </row>
    <row r="47" spans="1:6" s="26" customFormat="1" ht="10.5">
      <c r="A47" s="1" t="s">
        <v>54</v>
      </c>
      <c r="B47" s="1"/>
      <c r="C47" s="1"/>
      <c r="D47" s="1"/>
      <c r="E47" s="1"/>
      <c r="F47" s="38">
        <f>+F45/F46</f>
        <v>100000</v>
      </c>
    </row>
    <row r="49" spans="1:6" s="26" customFormat="1" ht="28.5" customHeight="1">
      <c r="A49" s="39" t="s">
        <v>55</v>
      </c>
      <c r="B49" s="1"/>
      <c r="C49" s="1"/>
      <c r="D49" s="1"/>
      <c r="E49" s="1"/>
      <c r="F49" s="1"/>
    </row>
    <row r="50" spans="1:6" s="26" customFormat="1" ht="10.5">
      <c r="A50" s="1" t="s">
        <v>54</v>
      </c>
      <c r="B50" s="1"/>
      <c r="C50" s="1"/>
      <c r="D50" s="1"/>
      <c r="E50" s="1"/>
      <c r="F50" s="37">
        <f>+F47</f>
        <v>100000</v>
      </c>
    </row>
    <row r="51" spans="1:6" s="26" customFormat="1" ht="10.5">
      <c r="A51" s="1" t="s">
        <v>39</v>
      </c>
      <c r="B51" s="1"/>
      <c r="C51" s="1"/>
      <c r="D51" s="1"/>
      <c r="E51" s="1"/>
      <c r="F51" s="37">
        <f>+F25</f>
        <v>4200</v>
      </c>
    </row>
    <row r="52" spans="1:6" s="26" customFormat="1" ht="10.5">
      <c r="A52" s="39" t="s">
        <v>55</v>
      </c>
      <c r="B52" s="1"/>
      <c r="C52" s="1"/>
      <c r="D52" s="1"/>
      <c r="E52" s="1"/>
      <c r="F52" s="38">
        <f>+F50-F51</f>
        <v>95800</v>
      </c>
    </row>
    <row r="53" spans="1:6" s="26" customFormat="1" ht="10.5">
      <c r="A53" s="1"/>
      <c r="B53" s="1"/>
      <c r="C53" s="1"/>
      <c r="D53" s="1"/>
      <c r="E53" s="1"/>
      <c r="F53" s="1"/>
    </row>
    <row r="54" spans="1:6" s="27" customFormat="1" ht="10.5">
      <c r="A54" s="28" t="s">
        <v>56</v>
      </c>
      <c r="B54" s="1"/>
      <c r="C54" s="1"/>
      <c r="D54" s="1"/>
      <c r="E54" s="1"/>
      <c r="F54" s="1"/>
    </row>
    <row r="55" spans="1:6" s="27" customFormat="1" ht="10.5">
      <c r="A55" s="28" t="s">
        <v>57</v>
      </c>
      <c r="B55" s="1"/>
      <c r="C55" s="40" t="s">
        <v>58</v>
      </c>
      <c r="D55" s="40"/>
      <c r="E55" s="40" t="s">
        <v>59</v>
      </c>
      <c r="F55" s="1"/>
    </row>
    <row r="56" spans="1:6" s="27" customFormat="1" ht="10.5">
      <c r="A56" s="40" t="s">
        <v>60</v>
      </c>
      <c r="B56" s="40"/>
      <c r="C56" s="40" t="s">
        <v>61</v>
      </c>
      <c r="D56" s="40" t="s">
        <v>62</v>
      </c>
      <c r="E56" s="40" t="s">
        <v>63</v>
      </c>
      <c r="F56" s="40" t="s">
        <v>64</v>
      </c>
    </row>
    <row r="57" spans="1:6" s="27" customFormat="1" ht="10.5">
      <c r="A57" s="41">
        <f>+F42</f>
        <v>100000</v>
      </c>
      <c r="B57" s="41"/>
      <c r="C57" s="37">
        <f>+F51*D41</f>
        <v>4200</v>
      </c>
      <c r="D57" s="37">
        <f>+A57-C57</f>
        <v>95800</v>
      </c>
      <c r="E57" s="33">
        <v>0.0052</v>
      </c>
      <c r="F57" s="37">
        <f>+E57*D57</f>
        <v>498.16</v>
      </c>
    </row>
    <row r="58" spans="1:6" s="27" customFormat="1" ht="10.5">
      <c r="A58" s="1" t="s">
        <v>65</v>
      </c>
      <c r="B58" s="1"/>
      <c r="C58" s="1"/>
      <c r="D58" s="1"/>
      <c r="E58" s="1"/>
      <c r="F58" s="37"/>
    </row>
    <row r="59" spans="1:6" s="27" customFormat="1" ht="10.5">
      <c r="A59" s="1" t="s">
        <v>66</v>
      </c>
      <c r="B59" s="1"/>
      <c r="C59" s="1"/>
      <c r="D59" s="1"/>
      <c r="E59" s="1"/>
      <c r="F59" s="37">
        <f>+F57</f>
        <v>498.16</v>
      </c>
    </row>
    <row r="60" spans="1:6" s="27" customFormat="1" ht="10.5">
      <c r="A60" s="1" t="s">
        <v>67</v>
      </c>
      <c r="B60" s="1"/>
      <c r="C60" s="1"/>
      <c r="D60" s="1"/>
      <c r="E60" s="1"/>
      <c r="F60" s="37">
        <f>+'Médias Mensais'!G13</f>
        <v>1782</v>
      </c>
    </row>
    <row r="61" spans="1:6" s="27" customFormat="1" ht="10.5">
      <c r="A61" s="1" t="s">
        <v>68</v>
      </c>
      <c r="B61" s="1"/>
      <c r="C61" s="1"/>
      <c r="D61" s="1"/>
      <c r="E61" s="1"/>
      <c r="F61" s="35">
        <f>+F59/F60</f>
        <v>0.2795510662177329</v>
      </c>
    </row>
    <row r="63" spans="1:6" s="27" customFormat="1" ht="10.5">
      <c r="A63" s="39" t="s">
        <v>69</v>
      </c>
      <c r="B63" s="1"/>
      <c r="C63" s="1"/>
      <c r="D63" s="40" t="s">
        <v>70</v>
      </c>
      <c r="E63" s="40" t="s">
        <v>71</v>
      </c>
      <c r="F63" s="40" t="s">
        <v>72</v>
      </c>
    </row>
    <row r="64" spans="1:6" s="27" customFormat="1" ht="10.5">
      <c r="A64" s="1" t="s">
        <v>73</v>
      </c>
      <c r="B64" s="1"/>
      <c r="C64" s="1"/>
      <c r="D64" s="33">
        <f>+A57*0.03</f>
        <v>3000</v>
      </c>
      <c r="E64" s="31">
        <v>0.0625</v>
      </c>
      <c r="F64" s="37">
        <f>+E64*D64</f>
        <v>187.5</v>
      </c>
    </row>
    <row r="65" spans="1:6" s="27" customFormat="1" ht="10.5">
      <c r="A65" s="1" t="s">
        <v>67</v>
      </c>
      <c r="B65" s="1"/>
      <c r="C65" s="1"/>
      <c r="D65" s="1"/>
      <c r="E65" s="1"/>
      <c r="F65" s="37">
        <f>+F60</f>
        <v>1782</v>
      </c>
    </row>
    <row r="66" spans="1:6" s="27" customFormat="1" ht="10.5">
      <c r="A66" s="39" t="s">
        <v>74</v>
      </c>
      <c r="B66" s="1"/>
      <c r="C66" s="1"/>
      <c r="D66" s="1"/>
      <c r="E66" s="1"/>
      <c r="F66" s="42">
        <f>+F64/F65</f>
        <v>0.10521885521885523</v>
      </c>
    </row>
    <row r="67" spans="1:6" s="27" customFormat="1" ht="10.5">
      <c r="A67" s="1"/>
      <c r="B67" s="1"/>
      <c r="C67" s="1"/>
      <c r="D67" s="1"/>
      <c r="E67" s="1"/>
      <c r="F67" s="1"/>
    </row>
    <row r="68" spans="1:6" s="27" customFormat="1" ht="10.5">
      <c r="A68" s="39" t="s">
        <v>75</v>
      </c>
      <c r="B68" s="1"/>
      <c r="C68" s="1"/>
      <c r="D68" s="40" t="s">
        <v>76</v>
      </c>
      <c r="E68" s="40" t="s">
        <v>77</v>
      </c>
      <c r="F68" s="1" t="s">
        <v>78</v>
      </c>
    </row>
    <row r="69" spans="1:6" s="27" customFormat="1" ht="10.5">
      <c r="A69" s="1" t="s">
        <v>73</v>
      </c>
      <c r="B69" s="1"/>
      <c r="C69" s="1"/>
      <c r="D69" s="33">
        <f>+A57*0.01</f>
        <v>1000</v>
      </c>
      <c r="E69" s="31">
        <v>0.0625</v>
      </c>
      <c r="F69" s="37">
        <f>+E69*D69</f>
        <v>62.5</v>
      </c>
    </row>
    <row r="70" spans="1:6" s="27" customFormat="1" ht="10.5">
      <c r="A70" s="1" t="s">
        <v>67</v>
      </c>
      <c r="B70" s="1"/>
      <c r="C70" s="1"/>
      <c r="D70" s="1"/>
      <c r="E70" s="1"/>
      <c r="F70" s="37">
        <f>+F65</f>
        <v>1782</v>
      </c>
    </row>
    <row r="71" spans="1:6" s="27" customFormat="1" ht="10.5">
      <c r="A71" s="39" t="s">
        <v>79</v>
      </c>
      <c r="B71" s="1"/>
      <c r="C71" s="1"/>
      <c r="D71" s="1"/>
      <c r="E71" s="1"/>
      <c r="F71" s="32">
        <f>+F69/F70</f>
        <v>0.035072951739618406</v>
      </c>
    </row>
    <row r="73" spans="1:6" s="27" customFormat="1" ht="10.5">
      <c r="A73" s="28" t="s">
        <v>80</v>
      </c>
      <c r="B73" s="1"/>
      <c r="C73" s="1"/>
      <c r="D73" s="1"/>
      <c r="E73" s="1"/>
      <c r="F73" s="1"/>
    </row>
    <row r="74" spans="1:6" s="27" customFormat="1" ht="10.5">
      <c r="A74" s="28" t="s">
        <v>81</v>
      </c>
      <c r="B74" s="1"/>
      <c r="C74" s="1"/>
      <c r="D74" s="1"/>
      <c r="E74" s="1"/>
      <c r="F74" s="31">
        <f>+F61</f>
        <v>0.2795510662177329</v>
      </c>
    </row>
    <row r="75" spans="1:6" s="27" customFormat="1" ht="21">
      <c r="A75" s="39" t="s">
        <v>82</v>
      </c>
      <c r="B75" s="1"/>
      <c r="C75" s="1"/>
      <c r="D75" s="1"/>
      <c r="E75" s="1"/>
      <c r="F75" s="33">
        <f>+F66</f>
        <v>0.10521885521885523</v>
      </c>
    </row>
    <row r="76" spans="1:6" s="27" customFormat="1" ht="21">
      <c r="A76" s="39" t="s">
        <v>83</v>
      </c>
      <c r="B76" s="1"/>
      <c r="C76" s="1"/>
      <c r="D76" s="1"/>
      <c r="E76" s="1"/>
      <c r="F76" s="31">
        <f>+F71</f>
        <v>0.035072951739618406</v>
      </c>
    </row>
    <row r="77" spans="1:6" s="27" customFormat="1" ht="10.5">
      <c r="A77" s="28" t="s">
        <v>84</v>
      </c>
      <c r="B77" s="1"/>
      <c r="C77" s="1"/>
      <c r="D77" s="1"/>
      <c r="E77" s="1"/>
      <c r="F77" s="43">
        <f>+F76+F75+F74</f>
        <v>0.4198428731762065</v>
      </c>
    </row>
    <row r="79" spans="1:6" s="26" customFormat="1" ht="10.5">
      <c r="A79" s="28" t="s">
        <v>85</v>
      </c>
      <c r="B79" s="1"/>
      <c r="C79" s="1"/>
      <c r="D79" s="1" t="s">
        <v>86</v>
      </c>
      <c r="E79" s="40" t="s">
        <v>77</v>
      </c>
      <c r="F79" s="1" t="s">
        <v>78</v>
      </c>
    </row>
    <row r="80" spans="1:6" s="26" customFormat="1" ht="10.5">
      <c r="A80" s="1" t="s">
        <v>87</v>
      </c>
      <c r="B80" s="1"/>
      <c r="C80" s="1"/>
      <c r="D80" s="33">
        <f>+A57*0.2</f>
        <v>20000</v>
      </c>
      <c r="E80" s="31">
        <v>0.0625</v>
      </c>
      <c r="F80" s="42">
        <f>+E80*D80</f>
        <v>1250</v>
      </c>
    </row>
    <row r="81" spans="1:6" s="26" customFormat="1" ht="10.5">
      <c r="A81" s="1" t="s">
        <v>67</v>
      </c>
      <c r="B81" s="1"/>
      <c r="C81" s="1"/>
      <c r="D81" s="1"/>
      <c r="E81" s="1"/>
      <c r="F81" s="37">
        <f>+F65</f>
        <v>1782</v>
      </c>
    </row>
    <row r="82" spans="1:6" s="26" customFormat="1" ht="10.5">
      <c r="A82" s="28" t="s">
        <v>88</v>
      </c>
      <c r="B82" s="1"/>
      <c r="C82" s="1"/>
      <c r="D82" s="1"/>
      <c r="E82" s="1"/>
      <c r="F82" s="32">
        <f>+F80/F81</f>
        <v>0.7014590347923682</v>
      </c>
    </row>
    <row r="84" ht="10.5">
      <c r="A84" s="39" t="s">
        <v>89</v>
      </c>
    </row>
    <row r="85" spans="1:6" ht="10.5">
      <c r="A85" s="28" t="s">
        <v>90</v>
      </c>
      <c r="B85" s="40" t="s">
        <v>91</v>
      </c>
      <c r="C85" s="40" t="s">
        <v>92</v>
      </c>
      <c r="D85" s="40" t="s">
        <v>93</v>
      </c>
      <c r="E85" s="40" t="s">
        <v>94</v>
      </c>
      <c r="F85" s="40" t="s">
        <v>33</v>
      </c>
    </row>
    <row r="86" spans="1:6" ht="10.5">
      <c r="A86" s="1" t="s">
        <v>95</v>
      </c>
      <c r="B86" s="1">
        <f>+C9</f>
        <v>1</v>
      </c>
      <c r="C86" s="33">
        <v>2256</v>
      </c>
      <c r="D86" s="1">
        <v>1.5671</v>
      </c>
      <c r="E86" s="33">
        <v>1</v>
      </c>
      <c r="F86" s="37">
        <f>(C86*D86)*B86</f>
        <v>3535.3776</v>
      </c>
    </row>
    <row r="87" spans="1:6" ht="10.5">
      <c r="A87" s="1" t="s">
        <v>96</v>
      </c>
      <c r="B87" s="1">
        <v>1</v>
      </c>
      <c r="C87" s="33">
        <v>1400</v>
      </c>
      <c r="D87" s="1">
        <v>1.5671</v>
      </c>
      <c r="E87" s="33">
        <v>1</v>
      </c>
      <c r="F87" s="37">
        <f>(C87*D87)*B87</f>
        <v>2193.94</v>
      </c>
    </row>
    <row r="88" spans="1:6" ht="10.5">
      <c r="A88" s="1" t="s">
        <v>97</v>
      </c>
      <c r="B88" s="1">
        <v>22</v>
      </c>
      <c r="C88" s="33">
        <v>12</v>
      </c>
      <c r="E88" s="33">
        <v>1</v>
      </c>
      <c r="F88" s="37">
        <f>+C88*B88</f>
        <v>264</v>
      </c>
    </row>
    <row r="89" spans="1:6" ht="10.5">
      <c r="A89" s="1" t="s">
        <v>98</v>
      </c>
      <c r="B89" s="1">
        <v>22</v>
      </c>
      <c r="C89" s="33">
        <v>12</v>
      </c>
      <c r="E89" s="33"/>
      <c r="F89" s="37">
        <f>+C89*B89</f>
        <v>264</v>
      </c>
    </row>
    <row r="90" spans="1:6" ht="10.5">
      <c r="A90" s="1" t="s">
        <v>99</v>
      </c>
      <c r="F90" s="37">
        <f>SUM(F86:F89)</f>
        <v>6257.3176</v>
      </c>
    </row>
    <row r="91" spans="1:6" ht="10.5">
      <c r="A91" s="1" t="s">
        <v>67</v>
      </c>
      <c r="F91" s="37">
        <f>+F81</f>
        <v>1782</v>
      </c>
    </row>
    <row r="92" spans="1:6" ht="10.5">
      <c r="A92" s="28" t="s">
        <v>100</v>
      </c>
      <c r="F92" s="32">
        <f>+F90/F91</f>
        <v>3.5114015712682383</v>
      </c>
    </row>
    <row r="94" spans="1:6" ht="10.5">
      <c r="A94" s="28" t="s">
        <v>101</v>
      </c>
      <c r="E94" s="40" t="s">
        <v>102</v>
      </c>
      <c r="F94" s="40" t="s">
        <v>103</v>
      </c>
    </row>
    <row r="95" spans="1:6" ht="10.5">
      <c r="A95" s="1" t="s">
        <v>104</v>
      </c>
      <c r="E95" s="33">
        <f>+F90</f>
        <v>6257.3176</v>
      </c>
      <c r="F95" s="31">
        <v>0.12</v>
      </c>
    </row>
    <row r="96" spans="1:6" ht="10.5">
      <c r="A96" s="1" t="s">
        <v>99</v>
      </c>
      <c r="F96" s="31">
        <f>+F95*E95</f>
        <v>750.878112</v>
      </c>
    </row>
    <row r="97" spans="1:6" ht="10.5">
      <c r="A97" s="1" t="s">
        <v>67</v>
      </c>
      <c r="F97" s="37">
        <f>+F91</f>
        <v>1782</v>
      </c>
    </row>
    <row r="98" spans="1:6" ht="10.5">
      <c r="A98" s="28" t="s">
        <v>100</v>
      </c>
      <c r="F98" s="32">
        <f>+F96/F97</f>
        <v>0.42136818855218855</v>
      </c>
    </row>
    <row r="100" ht="10.5">
      <c r="A100" s="39" t="s">
        <v>105</v>
      </c>
    </row>
    <row r="101" spans="1:6" ht="10.5">
      <c r="A101" s="28" t="s">
        <v>90</v>
      </c>
      <c r="F101" s="31">
        <f>+F92</f>
        <v>3.5114015712682383</v>
      </c>
    </row>
    <row r="102" spans="1:6" ht="10.5">
      <c r="A102" s="28" t="s">
        <v>101</v>
      </c>
      <c r="F102" s="31">
        <f>+F98</f>
        <v>0.42136818855218855</v>
      </c>
    </row>
    <row r="103" spans="1:6" ht="21">
      <c r="A103" s="39" t="s">
        <v>106</v>
      </c>
      <c r="F103" s="32">
        <f>+F102+F101</f>
        <v>3.932769759820427</v>
      </c>
    </row>
    <row r="105" ht="10.5">
      <c r="A105" s="28" t="s">
        <v>107</v>
      </c>
    </row>
    <row r="106" spans="1:6" ht="10.5">
      <c r="A106" s="28" t="s">
        <v>108</v>
      </c>
      <c r="E106" s="40" t="s">
        <v>102</v>
      </c>
      <c r="F106" s="40" t="s">
        <v>109</v>
      </c>
    </row>
    <row r="107" spans="1:6" ht="10.5">
      <c r="A107" s="1" t="s">
        <v>104</v>
      </c>
      <c r="E107" s="33">
        <f>+F90</f>
        <v>6257.3176</v>
      </c>
      <c r="F107" s="31">
        <v>0.08</v>
      </c>
    </row>
    <row r="108" spans="1:6" ht="10.5">
      <c r="A108" s="1" t="s">
        <v>110</v>
      </c>
      <c r="F108" s="31">
        <f>+F107*E107</f>
        <v>500.58540800000003</v>
      </c>
    </row>
    <row r="109" spans="1:6" ht="10.5">
      <c r="A109" s="1" t="s">
        <v>67</v>
      </c>
      <c r="F109" s="37">
        <f>+F97</f>
        <v>1782</v>
      </c>
    </row>
    <row r="110" spans="1:6" ht="10.5">
      <c r="A110" s="28" t="s">
        <v>111</v>
      </c>
      <c r="F110" s="32">
        <f>+F108/F109</f>
        <v>0.28091212570145907</v>
      </c>
    </row>
    <row r="112" spans="1:6" ht="10.5">
      <c r="A112" s="28" t="s">
        <v>112</v>
      </c>
      <c r="C112" s="40"/>
      <c r="D112" s="40" t="s">
        <v>102</v>
      </c>
      <c r="E112" s="40" t="s">
        <v>113</v>
      </c>
      <c r="F112" s="40"/>
    </row>
    <row r="113" spans="1:6" ht="10.5">
      <c r="A113" s="1" t="s">
        <v>104</v>
      </c>
      <c r="C113" s="33"/>
      <c r="D113" s="33">
        <f>+E107</f>
        <v>6257.3176</v>
      </c>
      <c r="E113" s="31">
        <v>0.02</v>
      </c>
      <c r="F113" s="31">
        <f>+D113*E113</f>
        <v>125.14635200000001</v>
      </c>
    </row>
    <row r="114" spans="1:6" ht="10.5">
      <c r="A114" s="1" t="s">
        <v>114</v>
      </c>
      <c r="F114" s="31">
        <f>+F113</f>
        <v>125.14635200000001</v>
      </c>
    </row>
    <row r="115" spans="1:6" ht="10.5">
      <c r="A115" s="1" t="s">
        <v>67</v>
      </c>
      <c r="F115" s="37">
        <f>+F109</f>
        <v>1782</v>
      </c>
    </row>
    <row r="116" spans="1:6" ht="10.5">
      <c r="A116" s="28" t="s">
        <v>115</v>
      </c>
      <c r="F116" s="32">
        <f>+F114/F115</f>
        <v>0.07022803142536477</v>
      </c>
    </row>
    <row r="118" spans="1:6" ht="10.5">
      <c r="A118" s="28" t="s">
        <v>116</v>
      </c>
      <c r="D118" s="40" t="s">
        <v>117</v>
      </c>
      <c r="E118" s="40" t="s">
        <v>118</v>
      </c>
      <c r="F118" s="40" t="s">
        <v>33</v>
      </c>
    </row>
    <row r="119" spans="1:6" ht="10.5">
      <c r="A119" s="1" t="s">
        <v>119</v>
      </c>
      <c r="D119" s="36">
        <v>143.64</v>
      </c>
      <c r="E119" s="1">
        <f>+C9</f>
        <v>1</v>
      </c>
      <c r="F119" s="33">
        <f>+E119*D119</f>
        <v>143.64</v>
      </c>
    </row>
    <row r="120" spans="1:6" ht="10.5">
      <c r="A120" s="1" t="s">
        <v>67</v>
      </c>
      <c r="F120" s="37">
        <f>+F60</f>
        <v>1782</v>
      </c>
    </row>
    <row r="121" spans="1:6" ht="10.5">
      <c r="A121" s="28" t="s">
        <v>120</v>
      </c>
      <c r="F121" s="32">
        <f>+F119/F120</f>
        <v>0.0806060606060606</v>
      </c>
    </row>
    <row r="123" spans="1:6" ht="10.5">
      <c r="A123" s="28" t="s">
        <v>121</v>
      </c>
      <c r="C123" s="40" t="s">
        <v>117</v>
      </c>
      <c r="D123" s="40" t="s">
        <v>122</v>
      </c>
      <c r="E123" s="40" t="s">
        <v>94</v>
      </c>
      <c r="F123" s="40" t="s">
        <v>123</v>
      </c>
    </row>
    <row r="124" spans="1:6" ht="10.5">
      <c r="A124" s="1" t="s">
        <v>124</v>
      </c>
      <c r="C124" s="36">
        <v>396.49</v>
      </c>
      <c r="D124" s="1">
        <f>+C9</f>
        <v>1</v>
      </c>
      <c r="E124" s="1">
        <v>0.0833</v>
      </c>
      <c r="F124" s="42">
        <f>+D124*C124*E124</f>
        <v>33.027617</v>
      </c>
    </row>
    <row r="125" spans="1:6" ht="10.5">
      <c r="A125" s="1" t="s">
        <v>67</v>
      </c>
      <c r="F125" s="37">
        <f>+F60</f>
        <v>1782</v>
      </c>
    </row>
    <row r="126" spans="1:6" ht="10.5">
      <c r="A126" s="28" t="s">
        <v>125</v>
      </c>
      <c r="F126" s="32">
        <f>+F124/F125</f>
        <v>0.018534016273849607</v>
      </c>
    </row>
    <row r="128" ht="10.5">
      <c r="A128" s="28" t="s">
        <v>126</v>
      </c>
    </row>
    <row r="129" spans="2:6" ht="10.5">
      <c r="B129" s="40" t="s">
        <v>127</v>
      </c>
      <c r="C129" s="40" t="s">
        <v>128</v>
      </c>
      <c r="D129" s="40" t="s">
        <v>129</v>
      </c>
      <c r="E129" s="40" t="s">
        <v>130</v>
      </c>
      <c r="F129" s="40" t="s">
        <v>33</v>
      </c>
    </row>
    <row r="130" spans="1:6" ht="10.5">
      <c r="A130" s="1" t="s">
        <v>131</v>
      </c>
      <c r="B130" s="37">
        <v>1080</v>
      </c>
      <c r="C130" s="1">
        <v>0</v>
      </c>
      <c r="D130" s="37">
        <f>+C130*B130</f>
        <v>0</v>
      </c>
      <c r="E130" s="1">
        <v>1</v>
      </c>
      <c r="F130" s="37">
        <f>+E130*D130</f>
        <v>0</v>
      </c>
    </row>
    <row r="131" spans="1:6" ht="10.5">
      <c r="A131" s="1" t="s">
        <v>132</v>
      </c>
      <c r="F131" s="37">
        <f>+F130*0.15</f>
        <v>0</v>
      </c>
    </row>
    <row r="132" spans="1:6" ht="10.5">
      <c r="A132" s="1" t="s">
        <v>133</v>
      </c>
      <c r="F132" s="37">
        <f>+F131+F130</f>
        <v>0</v>
      </c>
    </row>
    <row r="133" spans="1:6" ht="10.5">
      <c r="A133" s="1" t="s">
        <v>67</v>
      </c>
      <c r="F133" s="37">
        <f>+F125</f>
        <v>1782</v>
      </c>
    </row>
    <row r="134" spans="1:6" ht="10.5">
      <c r="A134" s="28" t="s">
        <v>134</v>
      </c>
      <c r="F134" s="32">
        <f>+F132/F133</f>
        <v>0</v>
      </c>
    </row>
    <row r="136" spans="1:6" ht="10.5">
      <c r="A136" s="28" t="s">
        <v>135</v>
      </c>
      <c r="F136" s="31"/>
    </row>
    <row r="137" spans="1:6" ht="10.5">
      <c r="A137" s="28" t="s">
        <v>108</v>
      </c>
      <c r="F137" s="31">
        <f>+F110</f>
        <v>0.28091212570145907</v>
      </c>
    </row>
    <row r="138" spans="1:6" ht="10.5">
      <c r="A138" s="28" t="s">
        <v>112</v>
      </c>
      <c r="F138" s="31">
        <f>+F116</f>
        <v>0.07022803142536477</v>
      </c>
    </row>
    <row r="139" spans="1:6" ht="10.5">
      <c r="A139" s="28" t="s">
        <v>116</v>
      </c>
      <c r="F139" s="31">
        <f>+F121</f>
        <v>0.0806060606060606</v>
      </c>
    </row>
    <row r="140" spans="1:6" ht="10.5">
      <c r="A140" s="28" t="s">
        <v>121</v>
      </c>
      <c r="F140" s="31">
        <f>+F126</f>
        <v>0.018534016273849607</v>
      </c>
    </row>
    <row r="141" spans="1:6" ht="10.5">
      <c r="A141" s="28" t="s">
        <v>126</v>
      </c>
      <c r="F141" s="31">
        <f>+F134</f>
        <v>0</v>
      </c>
    </row>
    <row r="142" spans="1:6" ht="10.5">
      <c r="A142" s="28" t="s">
        <v>136</v>
      </c>
      <c r="F142" s="32">
        <f>SUM(F137:F141)</f>
        <v>0.45028023400673406</v>
      </c>
    </row>
    <row r="144" ht="10.5">
      <c r="A144" s="28" t="s">
        <v>137</v>
      </c>
    </row>
    <row r="145" spans="1:6" ht="10.5">
      <c r="A145" s="1" t="s">
        <v>138</v>
      </c>
      <c r="F145" s="33">
        <f>+F77</f>
        <v>0.4198428731762065</v>
      </c>
    </row>
    <row r="146" spans="1:6" ht="10.5">
      <c r="A146" s="1" t="s">
        <v>139</v>
      </c>
      <c r="F146" s="31">
        <f>+F82</f>
        <v>0.7014590347923682</v>
      </c>
    </row>
    <row r="147" spans="1:6" ht="10.5">
      <c r="A147" s="1" t="s">
        <v>89</v>
      </c>
      <c r="F147" s="31">
        <f>+F103</f>
        <v>3.932769759820427</v>
      </c>
    </row>
    <row r="148" spans="1:6" ht="10.5">
      <c r="A148" s="1" t="s">
        <v>107</v>
      </c>
      <c r="F148" s="31">
        <f>+F142</f>
        <v>0.45028023400673406</v>
      </c>
    </row>
    <row r="149" spans="1:6" ht="10.5">
      <c r="A149" s="28" t="s">
        <v>140</v>
      </c>
      <c r="F149" s="42">
        <f>SUM(F145:F148)</f>
        <v>5.504351901795736</v>
      </c>
    </row>
    <row r="151" ht="10.5">
      <c r="A151" s="28" t="s">
        <v>141</v>
      </c>
    </row>
    <row r="152" spans="1:6" ht="10.5">
      <c r="A152" s="1" t="s">
        <v>142</v>
      </c>
      <c r="F152" s="31">
        <f>+F38</f>
        <v>1.0782605</v>
      </c>
    </row>
    <row r="153" spans="1:6" ht="10.5">
      <c r="A153" s="1" t="s">
        <v>143</v>
      </c>
      <c r="F153" s="33">
        <f>+F149</f>
        <v>5.504351901795736</v>
      </c>
    </row>
    <row r="154" spans="1:6" ht="10.5">
      <c r="A154" s="28" t="s">
        <v>144</v>
      </c>
      <c r="B154" s="28"/>
      <c r="C154" s="28"/>
      <c r="D154" s="28"/>
      <c r="E154" s="28"/>
      <c r="F154" s="32">
        <f>+F153+F152</f>
        <v>6.5826124017957355</v>
      </c>
    </row>
    <row r="156" spans="1:5" ht="10.5">
      <c r="A156" s="28" t="s">
        <v>145</v>
      </c>
      <c r="C156" s="40" t="s">
        <v>146</v>
      </c>
      <c r="D156" s="40" t="s">
        <v>147</v>
      </c>
      <c r="E156" s="40" t="s">
        <v>148</v>
      </c>
    </row>
    <row r="157" spans="1:4" ht="10.5">
      <c r="A157" s="1" t="s">
        <v>149</v>
      </c>
      <c r="C157" s="36">
        <v>3</v>
      </c>
      <c r="D157" s="36"/>
    </row>
    <row r="158" spans="1:4" ht="10.5">
      <c r="A158" s="1" t="s">
        <v>150</v>
      </c>
      <c r="C158" s="36">
        <v>6</v>
      </c>
      <c r="D158" s="36"/>
    </row>
    <row r="159" spans="1:6" ht="10.5">
      <c r="A159" s="1" t="s">
        <v>151</v>
      </c>
      <c r="C159" s="36">
        <v>10</v>
      </c>
      <c r="D159" s="36">
        <f>+C159+C158+C157</f>
        <v>19</v>
      </c>
      <c r="E159" s="1">
        <f>+D159/100</f>
        <v>0.19</v>
      </c>
      <c r="F159" s="32">
        <f>+F154*E159</f>
        <v>1.2506963563411897</v>
      </c>
    </row>
    <row r="160" spans="1:6" ht="10.5">
      <c r="A160" s="28" t="s">
        <v>152</v>
      </c>
      <c r="F160" s="44">
        <f>+F159+F154</f>
        <v>7.833308758136925</v>
      </c>
    </row>
    <row r="162" spans="1:6" ht="10.5">
      <c r="A162" s="45" t="s">
        <v>153</v>
      </c>
      <c r="B162" s="46"/>
      <c r="C162" s="46"/>
      <c r="D162" s="46"/>
      <c r="E162" s="47" t="s">
        <v>154</v>
      </c>
      <c r="F162" s="48" t="s">
        <v>155</v>
      </c>
    </row>
    <row r="163" spans="1:6" ht="10.5">
      <c r="A163" s="49" t="s">
        <v>6</v>
      </c>
      <c r="B163" s="50"/>
      <c r="C163" s="50"/>
      <c r="D163" s="50"/>
      <c r="E163" s="51">
        <f>+F152</f>
        <v>1.0782605</v>
      </c>
      <c r="F163" s="52">
        <v>0.1556</v>
      </c>
    </row>
    <row r="164" spans="1:6" ht="10.5">
      <c r="A164" s="53" t="s">
        <v>156</v>
      </c>
      <c r="B164" s="50"/>
      <c r="C164" s="50"/>
      <c r="D164" s="50"/>
      <c r="E164" s="54">
        <f>+F10</f>
        <v>0.96</v>
      </c>
      <c r="F164" s="52">
        <v>0.1417</v>
      </c>
    </row>
    <row r="165" spans="1:6" ht="10.5">
      <c r="A165" s="53" t="s">
        <v>157</v>
      </c>
      <c r="B165" s="50"/>
      <c r="C165" s="50"/>
      <c r="D165" s="50"/>
      <c r="E165" s="54">
        <f>+F19</f>
        <v>0.0482605</v>
      </c>
      <c r="F165" s="52">
        <v>0.0119</v>
      </c>
    </row>
    <row r="166" spans="1:6" ht="10.5">
      <c r="A166" s="53" t="s">
        <v>158</v>
      </c>
      <c r="B166" s="50"/>
      <c r="C166" s="50"/>
      <c r="D166" s="50"/>
      <c r="E166" s="54">
        <f>+F32</f>
        <v>0.07</v>
      </c>
      <c r="F166" s="52">
        <v>0.0192</v>
      </c>
    </row>
    <row r="167" spans="1:6" ht="10.5">
      <c r="A167" s="49" t="s">
        <v>159</v>
      </c>
      <c r="B167" s="50"/>
      <c r="C167" s="50"/>
      <c r="D167" s="50"/>
      <c r="E167" s="55">
        <f>+F149</f>
        <v>5.504351901795736</v>
      </c>
      <c r="F167" s="52">
        <v>0.012</v>
      </c>
    </row>
    <row r="168" spans="1:6" ht="10.5">
      <c r="A168" s="53" t="s">
        <v>160</v>
      </c>
      <c r="B168" s="50"/>
      <c r="C168" s="50"/>
      <c r="D168" s="50"/>
      <c r="E168" s="54">
        <f>+F145</f>
        <v>0.4198428731762065</v>
      </c>
      <c r="F168" s="52">
        <v>0.1117</v>
      </c>
    </row>
    <row r="169" spans="1:6" ht="10.5">
      <c r="A169" s="53" t="s">
        <v>161</v>
      </c>
      <c r="B169" s="50"/>
      <c r="C169" s="50"/>
      <c r="D169" s="50"/>
      <c r="E169" s="54">
        <f>+F61</f>
        <v>0.2795510662177329</v>
      </c>
      <c r="F169" s="52">
        <v>0.105</v>
      </c>
    </row>
    <row r="170" spans="1:6" ht="10.5">
      <c r="A170" s="53" t="s">
        <v>162</v>
      </c>
      <c r="B170" s="50"/>
      <c r="C170" s="50"/>
      <c r="D170" s="50"/>
      <c r="E170" s="56">
        <f>+F66</f>
        <v>0.10521885521885523</v>
      </c>
      <c r="F170" s="52">
        <v>0.0171</v>
      </c>
    </row>
    <row r="171" spans="1:6" ht="10.5">
      <c r="A171" s="53" t="s">
        <v>163</v>
      </c>
      <c r="B171" s="50"/>
      <c r="C171" s="50"/>
      <c r="D171" s="50"/>
      <c r="E171" s="54">
        <f>+F76</f>
        <v>0.035072951739618406</v>
      </c>
      <c r="F171" s="52">
        <v>0.0057</v>
      </c>
    </row>
    <row r="172" spans="1:6" ht="10.5">
      <c r="A172" s="49" t="s">
        <v>164</v>
      </c>
      <c r="B172" s="50"/>
      <c r="C172" s="50"/>
      <c r="D172" s="50"/>
      <c r="E172" s="51">
        <f>+F82</f>
        <v>0.7014590347923682</v>
      </c>
      <c r="F172" s="57">
        <v>0.1143</v>
      </c>
    </row>
    <row r="173" spans="1:6" ht="10.5">
      <c r="A173" s="49" t="s">
        <v>165</v>
      </c>
      <c r="B173" s="50"/>
      <c r="C173" s="50"/>
      <c r="D173" s="50"/>
      <c r="E173" s="51">
        <f>+F103</f>
        <v>3.932769759820427</v>
      </c>
      <c r="F173" s="57">
        <v>0.2348</v>
      </c>
    </row>
    <row r="174" spans="1:6" ht="10.5">
      <c r="A174" s="53" t="s">
        <v>166</v>
      </c>
      <c r="B174" s="50"/>
      <c r="C174" s="50"/>
      <c r="D174" s="50"/>
      <c r="E174" s="54">
        <f>+F101</f>
        <v>3.5114015712682383</v>
      </c>
      <c r="F174" s="52">
        <v>0.2279</v>
      </c>
    </row>
    <row r="175" spans="1:6" ht="10.5">
      <c r="A175" s="53" t="s">
        <v>167</v>
      </c>
      <c r="B175" s="50"/>
      <c r="C175" s="50"/>
      <c r="D175" s="50"/>
      <c r="E175" s="54">
        <f>+F102</f>
        <v>0.42136818855218855</v>
      </c>
      <c r="F175" s="52">
        <v>0.0068</v>
      </c>
    </row>
    <row r="176" spans="1:6" ht="10.5">
      <c r="A176" s="49" t="s">
        <v>168</v>
      </c>
      <c r="B176" s="50"/>
      <c r="C176" s="50"/>
      <c r="D176" s="50"/>
      <c r="E176" s="51">
        <f>+F142</f>
        <v>0.45028023400673406</v>
      </c>
      <c r="F176" s="57">
        <v>0.1357</v>
      </c>
    </row>
    <row r="177" spans="1:6" ht="10.5">
      <c r="A177" s="53" t="s">
        <v>169</v>
      </c>
      <c r="B177" s="50"/>
      <c r="C177" s="50"/>
      <c r="D177" s="50"/>
      <c r="E177" s="54">
        <f>+F137</f>
        <v>0.28091212570145907</v>
      </c>
      <c r="F177" s="52">
        <v>0.0068</v>
      </c>
    </row>
    <row r="178" spans="1:6" ht="10.5">
      <c r="A178" s="53" t="s">
        <v>170</v>
      </c>
      <c r="B178" s="50"/>
      <c r="C178" s="50"/>
      <c r="D178" s="50"/>
      <c r="E178" s="54">
        <f>+F138</f>
        <v>0.07022803142536477</v>
      </c>
      <c r="F178" s="52">
        <v>0.0023</v>
      </c>
    </row>
    <row r="179" spans="1:6" ht="10.5">
      <c r="A179" s="53" t="s">
        <v>171</v>
      </c>
      <c r="B179" s="50"/>
      <c r="C179" s="50"/>
      <c r="D179" s="50"/>
      <c r="E179" s="54">
        <f>+F139</f>
        <v>0.0806060606060606</v>
      </c>
      <c r="F179" s="52">
        <v>0.0203</v>
      </c>
    </row>
    <row r="180" spans="1:6" ht="10.5">
      <c r="A180" s="53" t="s">
        <v>172</v>
      </c>
      <c r="B180" s="50"/>
      <c r="C180" s="50"/>
      <c r="D180" s="50"/>
      <c r="E180" s="54">
        <f>+F140</f>
        <v>0.018534016273849607</v>
      </c>
      <c r="F180" s="52">
        <v>0.0544</v>
      </c>
    </row>
    <row r="181" spans="1:6" ht="10.5">
      <c r="A181" s="53" t="s">
        <v>173</v>
      </c>
      <c r="B181" s="50"/>
      <c r="C181" s="50"/>
      <c r="D181" s="50"/>
      <c r="E181" s="54">
        <f>+F141</f>
        <v>0</v>
      </c>
      <c r="F181" s="52">
        <v>0.0519</v>
      </c>
    </row>
    <row r="182" spans="1:6" ht="10.5">
      <c r="A182" s="49" t="s">
        <v>174</v>
      </c>
      <c r="B182" s="50"/>
      <c r="C182" s="50"/>
      <c r="D182" s="50"/>
      <c r="E182" s="58">
        <f>+F159</f>
        <v>1.2506963563411897</v>
      </c>
      <c r="F182" s="57">
        <v>0.245</v>
      </c>
    </row>
    <row r="183" spans="1:6" ht="10.5">
      <c r="A183" s="59" t="s">
        <v>175</v>
      </c>
      <c r="B183" s="60"/>
      <c r="C183" s="60"/>
      <c r="D183" s="60"/>
      <c r="E183" s="61">
        <f>+F160</f>
        <v>7.833308758136925</v>
      </c>
      <c r="F183" s="62">
        <v>1</v>
      </c>
    </row>
    <row r="185" ht="10.5">
      <c r="A185" s="28"/>
    </row>
  </sheetData>
  <sheetProtection/>
  <mergeCells count="2">
    <mergeCell ref="A5:F5"/>
    <mergeCell ref="A56:B56"/>
  </mergeCells>
  <printOptions/>
  <pageMargins left="0.511811023622047" right="0.511811023622047" top="0.590551181102362" bottom="0.78740157480315" header="0.31496062992126" footer="0.31496062992126"/>
  <pageSetup fitToHeight="2" fitToWidth="1"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workbookViewId="0" topLeftCell="A1">
      <selection activeCell="K18" sqref="K18"/>
    </sheetView>
  </sheetViews>
  <sheetFormatPr defaultColWidth="9.00390625" defaultRowHeight="15"/>
  <cols>
    <col min="1" max="1" width="7.8515625" style="1" customWidth="1"/>
    <col min="2" max="2" width="6.57421875" style="1" customWidth="1"/>
    <col min="3" max="3" width="7.8515625" style="1" customWidth="1"/>
    <col min="4" max="4" width="9.00390625" style="1" customWidth="1"/>
    <col min="5" max="5" width="14.421875" style="1" customWidth="1"/>
    <col min="6" max="6" width="7.8515625" style="1" customWidth="1"/>
    <col min="7" max="7" width="8.8515625" style="1" customWidth="1"/>
    <col min="8" max="8" width="7.8515625" style="1" customWidth="1"/>
    <col min="9" max="9" width="8.8515625" style="1" customWidth="1"/>
    <col min="10" max="10" width="8.7109375" style="1" customWidth="1"/>
    <col min="11" max="16384" width="9.140625" style="1" bestFit="1" customWidth="1"/>
  </cols>
  <sheetData>
    <row r="1" spans="1:9" ht="10.5">
      <c r="A1" s="2" t="s">
        <v>176</v>
      </c>
      <c r="B1" s="2"/>
      <c r="C1" s="2"/>
      <c r="D1" s="2"/>
      <c r="E1" s="2"/>
      <c r="F1" s="2"/>
      <c r="G1" s="2"/>
      <c r="H1" s="2"/>
      <c r="I1" s="2"/>
    </row>
    <row r="3" spans="1:10" ht="18" customHeight="1">
      <c r="A3" s="3" t="s">
        <v>177</v>
      </c>
      <c r="B3" s="3" t="s">
        <v>178</v>
      </c>
      <c r="C3" s="3"/>
      <c r="D3" s="3"/>
      <c r="E3" s="3" t="s">
        <v>179</v>
      </c>
      <c r="F3" s="3" t="s">
        <v>180</v>
      </c>
      <c r="G3" s="3"/>
      <c r="H3" s="3" t="s">
        <v>181</v>
      </c>
      <c r="I3" s="3"/>
      <c r="J3" s="20" t="s">
        <v>182</v>
      </c>
    </row>
    <row r="4" spans="1:10" ht="10.5">
      <c r="A4" s="3"/>
      <c r="B4" s="3" t="s">
        <v>183</v>
      </c>
      <c r="C4" s="3" t="s">
        <v>184</v>
      </c>
      <c r="D4" s="3" t="s">
        <v>185</v>
      </c>
      <c r="E4" s="3"/>
      <c r="F4" s="3" t="s">
        <v>186</v>
      </c>
      <c r="G4" s="3" t="s">
        <v>187</v>
      </c>
      <c r="H4" s="3" t="s">
        <v>188</v>
      </c>
      <c r="I4" s="3" t="s">
        <v>189</v>
      </c>
      <c r="J4" s="21"/>
    </row>
    <row r="5" spans="1:10" ht="10.5">
      <c r="A5" s="4">
        <v>1</v>
      </c>
      <c r="B5" s="5">
        <v>4</v>
      </c>
      <c r="C5" s="6">
        <v>0</v>
      </c>
      <c r="D5" s="6">
        <v>0</v>
      </c>
      <c r="E5" s="6">
        <f>+B5*22</f>
        <v>88</v>
      </c>
      <c r="F5" s="7">
        <v>81</v>
      </c>
      <c r="G5" s="7">
        <f>+F5*22</f>
        <v>1782</v>
      </c>
      <c r="H5" s="6">
        <v>48</v>
      </c>
      <c r="I5" s="22">
        <f>+H5*20</f>
        <v>960</v>
      </c>
      <c r="J5" s="22">
        <v>1</v>
      </c>
    </row>
    <row r="6" spans="1:10" ht="10.5">
      <c r="A6" s="8">
        <v>2</v>
      </c>
      <c r="B6" s="9"/>
      <c r="C6" s="10"/>
      <c r="D6" s="10"/>
      <c r="E6" s="6"/>
      <c r="F6" s="11"/>
      <c r="G6" s="7"/>
      <c r="H6" s="10"/>
      <c r="I6" s="22"/>
      <c r="J6" s="23"/>
    </row>
    <row r="7" spans="1:10" ht="10.5">
      <c r="A7" s="8">
        <v>3</v>
      </c>
      <c r="B7" s="9"/>
      <c r="C7" s="10"/>
      <c r="D7" s="10"/>
      <c r="E7" s="10"/>
      <c r="F7" s="11"/>
      <c r="G7" s="11"/>
      <c r="H7" s="10"/>
      <c r="I7" s="22"/>
      <c r="J7" s="23"/>
    </row>
    <row r="8" spans="1:10" ht="10.5">
      <c r="A8" s="8">
        <v>4</v>
      </c>
      <c r="B8" s="9"/>
      <c r="C8" s="10"/>
      <c r="D8" s="10"/>
      <c r="E8" s="10"/>
      <c r="F8" s="11"/>
      <c r="G8" s="11"/>
      <c r="H8" s="10"/>
      <c r="I8" s="23"/>
      <c r="J8" s="23"/>
    </row>
    <row r="9" spans="1:10" ht="10.5">
      <c r="A9" s="8">
        <v>5</v>
      </c>
      <c r="B9" s="9"/>
      <c r="C9" s="10"/>
      <c r="D9" s="10"/>
      <c r="E9" s="10"/>
      <c r="F9" s="11"/>
      <c r="G9" s="11"/>
      <c r="H9" s="10"/>
      <c r="I9" s="23"/>
      <c r="J9" s="23"/>
    </row>
    <row r="10" spans="1:10" ht="10.5">
      <c r="A10" s="8">
        <v>6</v>
      </c>
      <c r="B10" s="9"/>
      <c r="C10" s="10"/>
      <c r="D10" s="10"/>
      <c r="E10" s="10"/>
      <c r="F10" s="11"/>
      <c r="G10" s="11"/>
      <c r="H10" s="10"/>
      <c r="I10" s="23"/>
      <c r="J10" s="23"/>
    </row>
    <row r="11" spans="1:10" ht="10.5">
      <c r="A11" s="8">
        <v>7</v>
      </c>
      <c r="B11" s="9"/>
      <c r="C11" s="10"/>
      <c r="D11" s="10"/>
      <c r="E11" s="10"/>
      <c r="F11" s="11"/>
      <c r="G11" s="11"/>
      <c r="H11" s="10"/>
      <c r="I11" s="23"/>
      <c r="J11" s="23"/>
    </row>
    <row r="12" spans="1:10" ht="10.5">
      <c r="A12" s="12">
        <v>8</v>
      </c>
      <c r="B12" s="13"/>
      <c r="C12" s="14"/>
      <c r="D12" s="14"/>
      <c r="E12" s="14"/>
      <c r="F12" s="15"/>
      <c r="G12" s="15"/>
      <c r="H12" s="14"/>
      <c r="I12" s="24"/>
      <c r="J12" s="24"/>
    </row>
    <row r="13" spans="1:10" ht="10.5">
      <c r="A13" s="16" t="s">
        <v>190</v>
      </c>
      <c r="B13" s="17">
        <f>SUM(B5:B12)</f>
        <v>4</v>
      </c>
      <c r="C13" s="18" t="s">
        <v>191</v>
      </c>
      <c r="D13" s="18" t="s">
        <v>191</v>
      </c>
      <c r="E13" s="19">
        <f aca="true" t="shared" si="0" ref="E13:J13">SUM(E5:E12)</f>
        <v>88</v>
      </c>
      <c r="F13" s="19">
        <f t="shared" si="0"/>
        <v>81</v>
      </c>
      <c r="G13" s="19">
        <f t="shared" si="0"/>
        <v>1782</v>
      </c>
      <c r="H13" s="19">
        <f t="shared" si="0"/>
        <v>48</v>
      </c>
      <c r="I13" s="19">
        <f t="shared" si="0"/>
        <v>960</v>
      </c>
      <c r="J13" s="19">
        <f t="shared" si="0"/>
        <v>1</v>
      </c>
    </row>
    <row r="19" ht="10.5">
      <c r="I19" s="25"/>
    </row>
    <row r="21" ht="10.5">
      <c r="I21" s="25"/>
    </row>
    <row r="22" ht="10.5">
      <c r="I22" s="25"/>
    </row>
  </sheetData>
  <sheetProtection/>
  <mergeCells count="7">
    <mergeCell ref="A1:I1"/>
    <mergeCell ref="B3:D3"/>
    <mergeCell ref="F3:G3"/>
    <mergeCell ref="H3:I3"/>
    <mergeCell ref="A3:A4"/>
    <mergeCell ref="E3:E4"/>
    <mergeCell ref="J3:J4"/>
  </mergeCells>
  <printOptions/>
  <pageMargins left="0.511811024" right="0.511811024" top="0.787401575" bottom="0.787401575" header="0.31496062" footer="0.31496062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USUARIO</cp:lastModifiedBy>
  <cp:lastPrinted>2017-07-20T15:39:00Z</cp:lastPrinted>
  <dcterms:created xsi:type="dcterms:W3CDTF">2011-02-14T11:49:00Z</dcterms:created>
  <dcterms:modified xsi:type="dcterms:W3CDTF">2020-12-30T20:12:44Z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1046-11.2.0.9906</vt:lpwstr>
  </property>
</Properties>
</file>